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oyc\Documents\"/>
    </mc:Choice>
  </mc:AlternateContent>
  <xr:revisionPtr revIDLastSave="0" documentId="13_ncr:1_{9B91EF84-DD5E-4907-B0B7-1EE8C0DBD24D}" xr6:coauthVersionLast="47" xr6:coauthVersionMax="47" xr10:uidLastSave="{00000000-0000-0000-0000-000000000000}"/>
  <bookViews>
    <workbookView xWindow="3612" yWindow="1584" windowWidth="17280" windowHeight="8976" xr2:uid="{099FFF39-F3DF-4202-930E-4D1801226C80}"/>
  </bookViews>
  <sheets>
    <sheet name="Salaris-divide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I11" i="2"/>
  <c r="M12" i="2"/>
  <c r="G12" i="2"/>
  <c r="E8" i="2"/>
  <c r="E27" i="2" s="1"/>
  <c r="D8" i="2"/>
  <c r="J17" i="2" s="1"/>
  <c r="I17" i="2" s="1"/>
  <c r="E13" i="2"/>
  <c r="D13" i="2"/>
  <c r="P39" i="2"/>
  <c r="O39" i="2" s="1"/>
  <c r="P33" i="2"/>
  <c r="O33" i="2" s="1"/>
  <c r="M40" i="2"/>
  <c r="P40" i="2" s="1"/>
  <c r="O40" i="2" s="1"/>
  <c r="M34" i="2"/>
  <c r="P34" i="2" s="1"/>
  <c r="O34" i="2" s="1"/>
  <c r="G40" i="2"/>
  <c r="J40" i="2" s="1"/>
  <c r="I40" i="2" s="1"/>
  <c r="J39" i="2"/>
  <c r="I39" i="2" s="1"/>
  <c r="J33" i="2"/>
  <c r="I33" i="2" s="1"/>
  <c r="G34" i="2"/>
  <c r="J34" i="2" s="1"/>
  <c r="I34" i="2" s="1"/>
  <c r="E31" i="2"/>
  <c r="E30" i="2"/>
  <c r="D31" i="2"/>
  <c r="M28" i="2"/>
  <c r="M27" i="2"/>
  <c r="M21" i="2"/>
  <c r="M20" i="2"/>
  <c r="M19" i="2"/>
  <c r="M18" i="2"/>
  <c r="M6" i="2"/>
  <c r="M5" i="2"/>
  <c r="G6" i="2"/>
  <c r="G5" i="2"/>
  <c r="G28" i="2"/>
  <c r="G27" i="2"/>
  <c r="G21" i="2"/>
  <c r="G20" i="2"/>
  <c r="G19" i="2"/>
  <c r="G18" i="2"/>
  <c r="J11" i="2" l="1"/>
  <c r="J12" i="2"/>
  <c r="I12" i="2" s="1"/>
  <c r="P12" i="2"/>
  <c r="O12" i="2" s="1"/>
  <c r="P11" i="2"/>
  <c r="O13" i="2"/>
  <c r="D32" i="2"/>
  <c r="D33" i="2" s="1"/>
  <c r="D23" i="2" s="1"/>
  <c r="D27" i="2"/>
  <c r="O41" i="2"/>
  <c r="E14" i="2" s="1"/>
  <c r="O35" i="2"/>
  <c r="I35" i="2"/>
  <c r="I41" i="2"/>
  <c r="D14" i="2" s="1"/>
  <c r="E32" i="2"/>
  <c r="E33" i="2" s="1"/>
  <c r="E23" i="2" s="1"/>
  <c r="P18" i="2"/>
  <c r="O18" i="2" s="1"/>
  <c r="P6" i="2"/>
  <c r="O6" i="2" s="1"/>
  <c r="P19" i="2"/>
  <c r="O19" i="2" s="1"/>
  <c r="P20" i="2"/>
  <c r="O20" i="2" s="1"/>
  <c r="P21" i="2"/>
  <c r="O21" i="2" s="1"/>
  <c r="P4" i="2"/>
  <c r="P5" i="2"/>
  <c r="P17" i="2"/>
  <c r="O17" i="2" s="1"/>
  <c r="J18" i="2"/>
  <c r="I18" i="2" s="1"/>
  <c r="J21" i="2"/>
  <c r="I21" i="2" s="1"/>
  <c r="J19" i="2"/>
  <c r="I19" i="2" s="1"/>
  <c r="J20" i="2"/>
  <c r="I20" i="2" s="1"/>
  <c r="J5" i="2"/>
  <c r="J4" i="2"/>
  <c r="J6" i="2"/>
  <c r="I6" i="2" s="1"/>
  <c r="I13" i="2" l="1"/>
  <c r="I4" i="2"/>
  <c r="I5" i="2" s="1"/>
  <c r="D18" i="2"/>
  <c r="D22" i="2"/>
  <c r="E18" i="2"/>
  <c r="E22" i="2"/>
  <c r="O4" i="2"/>
  <c r="O5" i="2" s="1"/>
  <c r="O7" i="2" s="1"/>
  <c r="O22" i="2"/>
  <c r="I22" i="2"/>
  <c r="Q7" i="2" l="1"/>
  <c r="I7" i="2"/>
  <c r="K7" i="2" l="1"/>
  <c r="P28" i="2" l="1"/>
  <c r="O28" i="2" s="1"/>
  <c r="P27" i="2"/>
  <c r="O27" i="2" s="1"/>
  <c r="P26" i="2"/>
  <c r="O26" i="2" s="1"/>
  <c r="O29" i="2" l="1"/>
  <c r="E9" i="2" s="1"/>
  <c r="J27" i="2"/>
  <c r="I27" i="2" s="1"/>
  <c r="J26" i="2"/>
  <c r="I26" i="2" s="1"/>
  <c r="J28" i="2"/>
  <c r="I28" i="2" s="1"/>
  <c r="E21" i="2" l="1"/>
  <c r="E24" i="2" s="1"/>
  <c r="E17" i="2"/>
  <c r="E19" i="2"/>
  <c r="I29" i="2"/>
  <c r="D9" i="2" l="1"/>
  <c r="D17" i="2" s="1"/>
  <c r="D19" i="2" s="1"/>
  <c r="D21" i="2" l="1"/>
  <c r="D24" i="2" s="1"/>
  <c r="F24" i="2" s="1"/>
</calcChain>
</file>

<file path=xl/sharedStrings.xml><?xml version="1.0" encoding="utf-8"?>
<sst xmlns="http://schemas.openxmlformats.org/spreadsheetml/2006/main" count="83" uniqueCount="33">
  <si>
    <t>Hypotheekrenteaftrek</t>
  </si>
  <si>
    <t>Pensioenpremie</t>
  </si>
  <si>
    <t>Van</t>
  </si>
  <si>
    <t>Tot en met</t>
  </si>
  <si>
    <t>Brutoloon</t>
  </si>
  <si>
    <t>Premie AOV</t>
  </si>
  <si>
    <t>Inkomstenbelasting</t>
  </si>
  <si>
    <t>Bijtelling auto</t>
  </si>
  <si>
    <t>Dividendbelasting</t>
  </si>
  <si>
    <t>Arbeidskorting 2025</t>
  </si>
  <si>
    <t>Algemene heffingskorting 2025</t>
  </si>
  <si>
    <t>Netto salaris</t>
  </si>
  <si>
    <t>Netto dividend</t>
  </si>
  <si>
    <t>Totale belasting</t>
  </si>
  <si>
    <t>Hoogste percentage VPB</t>
  </si>
  <si>
    <t>Besparing VPB</t>
  </si>
  <si>
    <t>Winst moeder voor salaris</t>
  </si>
  <si>
    <t>Salaris DGA</t>
  </si>
  <si>
    <t>Winst moeder na salaris</t>
  </si>
  <si>
    <t>Belastbaar inkomen box 1</t>
  </si>
  <si>
    <t>vul in</t>
  </si>
  <si>
    <t>Bruto dividend</t>
  </si>
  <si>
    <t>Hoogste percentage DIB</t>
  </si>
  <si>
    <t>Inkomstenbelasting 2025</t>
  </si>
  <si>
    <t>Dividendbelasting 2025 1 persoon</t>
  </si>
  <si>
    <t>Dividendbelasting 2025 2 personen</t>
  </si>
  <si>
    <t>Netto totaal in privé</t>
  </si>
  <si>
    <t>A</t>
  </si>
  <si>
    <t>B</t>
  </si>
  <si>
    <t>ja</t>
  </si>
  <si>
    <t>Fiscale partner? ja/nee</t>
  </si>
  <si>
    <t>Verzamelinkomen box 1 + 2</t>
  </si>
  <si>
    <t>Bijdrage ZVW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</si>
</sst>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_ &quot;€&quot;\ * #,##0_ ;_ &quot;€&quot;\ * \-#,##0_ ;_ &quot;€&quot;\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1"/>
      <color theme="1"/>
      <name val="Aptos Narrow"/>
      <family val="2"/>
      <scheme val="minor"/>
    </font>
    <font>
      <i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4D5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9" fontId="2" fillId="0" borderId="0" xfId="0" applyNumberFormat="1" applyFont="1"/>
    <xf numFmtId="166" fontId="0" fillId="0" borderId="0" xfId="0" applyNumberFormat="1"/>
    <xf numFmtId="164" fontId="0" fillId="0" borderId="0" xfId="1" applyNumberFormat="1" applyFont="1"/>
    <xf numFmtId="0" fontId="4" fillId="0" borderId="0" xfId="0" applyFont="1"/>
    <xf numFmtId="166" fontId="4" fillId="0" borderId="0" xfId="0" applyNumberFormat="1" applyFont="1"/>
    <xf numFmtId="4" fontId="5" fillId="2" borderId="1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" fontId="2" fillId="2" borderId="4" xfId="0" applyNumberFormat="1" applyFont="1" applyFill="1" applyBorder="1"/>
    <xf numFmtId="4" fontId="2" fillId="2" borderId="0" xfId="0" applyNumberFormat="1" applyFont="1" applyFill="1"/>
    <xf numFmtId="10" fontId="2" fillId="2" borderId="5" xfId="0" applyNumberFormat="1" applyFont="1" applyFill="1" applyBorder="1"/>
    <xf numFmtId="4" fontId="2" fillId="2" borderId="6" xfId="0" applyNumberFormat="1" applyFont="1" applyFill="1" applyBorder="1"/>
    <xf numFmtId="4" fontId="2" fillId="2" borderId="7" xfId="0" applyNumberFormat="1" applyFont="1" applyFill="1" applyBorder="1"/>
    <xf numFmtId="10" fontId="2" fillId="2" borderId="8" xfId="0" applyNumberFormat="1" applyFont="1" applyFill="1" applyBorder="1"/>
    <xf numFmtId="165" fontId="2" fillId="2" borderId="5" xfId="0" applyNumberFormat="1" applyFont="1" applyFill="1" applyBorder="1"/>
    <xf numFmtId="165" fontId="2" fillId="2" borderId="8" xfId="0" applyNumberFormat="1" applyFont="1" applyFill="1" applyBorder="1"/>
    <xf numFmtId="2" fontId="2" fillId="2" borderId="5" xfId="0" applyNumberFormat="1" applyFont="1" applyFill="1" applyBorder="1"/>
    <xf numFmtId="164" fontId="2" fillId="2" borderId="5" xfId="1" applyNumberFormat="1" applyFont="1" applyFill="1" applyBorder="1"/>
    <xf numFmtId="164" fontId="2" fillId="2" borderId="8" xfId="0" applyNumberFormat="1" applyFont="1" applyFill="1" applyBorder="1"/>
    <xf numFmtId="0" fontId="0" fillId="0" borderId="2" xfId="0" applyBorder="1"/>
    <xf numFmtId="166" fontId="0" fillId="0" borderId="2" xfId="0" applyNumberFormat="1" applyBorder="1"/>
    <xf numFmtId="166" fontId="4" fillId="0" borderId="0" xfId="0" applyNumberFormat="1" applyFont="1" applyAlignment="1">
      <alignment horizontal="center"/>
    </xf>
    <xf numFmtId="166" fontId="0" fillId="3" borderId="9" xfId="0" applyNumberFormat="1" applyFill="1" applyBorder="1"/>
    <xf numFmtId="1" fontId="0" fillId="3" borderId="9" xfId="0" applyNumberFormat="1" applyFill="1" applyBorder="1" applyAlignment="1">
      <alignment horizontal="center"/>
    </xf>
    <xf numFmtId="10" fontId="2" fillId="2" borderId="5" xfId="1" applyNumberFormat="1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4D5FF"/>
      <color rgb="FFC6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C481-5D48-4034-8AA7-5F36F1435282}">
  <dimension ref="B2:Q41"/>
  <sheetViews>
    <sheetView tabSelected="1" topLeftCell="D1" workbookViewId="0">
      <selection activeCell="Q5" sqref="Q5"/>
    </sheetView>
  </sheetViews>
  <sheetFormatPr defaultRowHeight="14.4" x14ac:dyDescent="0.3"/>
  <cols>
    <col min="1" max="1" width="2" customWidth="1"/>
    <col min="3" max="3" width="24.44140625" bestFit="1" customWidth="1"/>
    <col min="4" max="5" width="11.109375" style="5" bestFit="1" customWidth="1"/>
    <col min="6" max="6" width="10.88671875" customWidth="1"/>
    <col min="7" max="11" width="10.6640625" customWidth="1"/>
    <col min="12" max="12" width="3.88671875" customWidth="1"/>
    <col min="13" max="17" width="10.6640625" customWidth="1"/>
  </cols>
  <sheetData>
    <row r="2" spans="2:17" x14ac:dyDescent="0.3">
      <c r="D2" s="27" t="s">
        <v>27</v>
      </c>
      <c r="E2" s="27" t="s">
        <v>28</v>
      </c>
      <c r="G2" s="2" t="s">
        <v>23</v>
      </c>
      <c r="H2" s="3"/>
      <c r="I2" s="3"/>
      <c r="J2" s="1"/>
      <c r="K2" s="27" t="s">
        <v>27</v>
      </c>
      <c r="L2" s="1"/>
      <c r="M2" s="2" t="s">
        <v>23</v>
      </c>
      <c r="Q2" s="27" t="s">
        <v>28</v>
      </c>
    </row>
    <row r="3" spans="2:17" x14ac:dyDescent="0.3">
      <c r="B3" t="s">
        <v>20</v>
      </c>
      <c r="C3" t="s">
        <v>4</v>
      </c>
      <c r="D3" s="28">
        <v>56000</v>
      </c>
      <c r="E3" s="28">
        <v>76816</v>
      </c>
      <c r="G3" s="9" t="s">
        <v>2</v>
      </c>
      <c r="H3" s="10" t="s">
        <v>3</v>
      </c>
      <c r="I3" s="11"/>
      <c r="J3" s="12"/>
      <c r="K3" s="13"/>
      <c r="L3" s="1"/>
      <c r="M3" s="9" t="s">
        <v>2</v>
      </c>
      <c r="N3" s="10" t="s">
        <v>3</v>
      </c>
      <c r="O3" s="11"/>
      <c r="P3" s="12"/>
      <c r="Q3" s="13"/>
    </row>
    <row r="4" spans="2:17" x14ac:dyDescent="0.3">
      <c r="B4" t="s">
        <v>20</v>
      </c>
      <c r="C4" t="s">
        <v>7</v>
      </c>
      <c r="D4" s="28">
        <v>0</v>
      </c>
      <c r="E4" s="28">
        <v>0</v>
      </c>
      <c r="G4" s="14">
        <v>0</v>
      </c>
      <c r="H4" s="15">
        <v>38440</v>
      </c>
      <c r="I4" s="15">
        <f>IF(J5=TRUE,H4,IF(J6=TRUE,H4,$D$8))</f>
        <v>38440</v>
      </c>
      <c r="J4" s="15" t="b">
        <f>AND($D$8&lt;=H4)</f>
        <v>0</v>
      </c>
      <c r="K4" s="16">
        <v>0.35820000000000002</v>
      </c>
      <c r="L4" s="1"/>
      <c r="M4" s="14">
        <v>0</v>
      </c>
      <c r="N4" s="15">
        <v>38440</v>
      </c>
      <c r="O4" s="15">
        <f>IF(P5=TRUE,N4,IF(P6=TRUE,N4,$E$8))</f>
        <v>38440</v>
      </c>
      <c r="P4" s="15" t="b">
        <f>AND($E$8&lt;=N4)</f>
        <v>0</v>
      </c>
      <c r="Q4" s="16">
        <v>0.35820000000000002</v>
      </c>
    </row>
    <row r="5" spans="2:17" x14ac:dyDescent="0.3">
      <c r="B5" t="s">
        <v>20</v>
      </c>
      <c r="C5" t="s">
        <v>0</v>
      </c>
      <c r="D5" s="28">
        <v>0</v>
      </c>
      <c r="E5" s="28">
        <v>0</v>
      </c>
      <c r="G5" s="14">
        <f>H4+1</f>
        <v>38441</v>
      </c>
      <c r="H5" s="15">
        <v>76816</v>
      </c>
      <c r="I5" s="15">
        <f>IF(J5=TRUE,$D$8-I4,IF(J6=TRUE,H5-H4,0))</f>
        <v>17560</v>
      </c>
      <c r="J5" s="15" t="b">
        <f>AND($D$8&gt;=G5,$D$8&lt;=H5)</f>
        <v>1</v>
      </c>
      <c r="K5" s="16">
        <v>0.37480000000000002</v>
      </c>
      <c r="L5" s="1"/>
      <c r="M5" s="14">
        <f>N4+1</f>
        <v>38441</v>
      </c>
      <c r="N5" s="15">
        <v>76816</v>
      </c>
      <c r="O5" s="15">
        <f>IF(P5=TRUE,$E$8-O4,IF(P6=TRUE,N5-N4,0))</f>
        <v>38376</v>
      </c>
      <c r="P5" s="15" t="b">
        <f>AND($E$8&gt;=M5,$E$8&lt;=N5)</f>
        <v>1</v>
      </c>
      <c r="Q5" s="16">
        <v>0.37480000000000002</v>
      </c>
    </row>
    <row r="6" spans="2:17" x14ac:dyDescent="0.3">
      <c r="B6" t="s">
        <v>20</v>
      </c>
      <c r="C6" t="s">
        <v>5</v>
      </c>
      <c r="D6" s="28">
        <v>0</v>
      </c>
      <c r="E6" s="28">
        <v>0</v>
      </c>
      <c r="G6" s="17">
        <f>H5+1</f>
        <v>76817</v>
      </c>
      <c r="H6" s="18">
        <v>0</v>
      </c>
      <c r="I6" s="18">
        <f>IF(J6=TRUE,$D$8-H5,IF(J6=FALSE,0,$D$8*K6))</f>
        <v>0</v>
      </c>
      <c r="J6" s="18" t="b">
        <f>AND($D$8&gt;=G6)</f>
        <v>0</v>
      </c>
      <c r="K6" s="19">
        <v>0.495</v>
      </c>
      <c r="L6" s="4"/>
      <c r="M6" s="17">
        <f>N5+1</f>
        <v>76817</v>
      </c>
      <c r="N6" s="18">
        <v>0</v>
      </c>
      <c r="O6" s="18">
        <f>IF(P6=TRUE,$E$8-N5,IF(P6=FALSE,0,$E$8*Q6))</f>
        <v>0</v>
      </c>
      <c r="P6" s="18" t="b">
        <f>AND($E$8&gt;=M6)</f>
        <v>0</v>
      </c>
      <c r="Q6" s="19">
        <v>0.495</v>
      </c>
    </row>
    <row r="7" spans="2:17" x14ac:dyDescent="0.3">
      <c r="B7" t="s">
        <v>20</v>
      </c>
      <c r="C7" t="s">
        <v>1</v>
      </c>
      <c r="D7" s="28">
        <v>0</v>
      </c>
      <c r="E7" s="28">
        <v>0</v>
      </c>
      <c r="G7" s="3"/>
      <c r="H7" s="3"/>
      <c r="I7" s="3">
        <f>SUM(I4:I6)</f>
        <v>56000</v>
      </c>
      <c r="J7" s="1"/>
      <c r="K7" s="3">
        <f>(K4*I4)+(I5*K5)+(I6*K6)</f>
        <v>20350.696</v>
      </c>
      <c r="L7" s="1"/>
      <c r="M7" s="3"/>
      <c r="N7" s="3"/>
      <c r="O7" s="3">
        <f>SUM(O4:O6)</f>
        <v>76816</v>
      </c>
      <c r="P7" s="1"/>
      <c r="Q7" s="3">
        <f>(Q4*O4)+(O5*Q5)+(O6*Q6)</f>
        <v>28152.532800000001</v>
      </c>
    </row>
    <row r="8" spans="2:17" x14ac:dyDescent="0.3">
      <c r="C8" t="s">
        <v>19</v>
      </c>
      <c r="D8" s="5">
        <f>D3+D4-D5-D6-D7</f>
        <v>56000</v>
      </c>
      <c r="E8" s="5">
        <f>E3+E4-E5-E6-E7</f>
        <v>76816</v>
      </c>
      <c r="G8" s="3"/>
      <c r="H8" s="3"/>
      <c r="I8" s="3"/>
      <c r="J8" s="1"/>
      <c r="K8" s="1"/>
      <c r="L8" s="1"/>
      <c r="M8" s="3"/>
      <c r="N8" s="3"/>
      <c r="O8" s="3"/>
      <c r="P8" s="1"/>
      <c r="Q8" s="1"/>
    </row>
    <row r="9" spans="2:17" x14ac:dyDescent="0.3">
      <c r="C9" t="s">
        <v>6</v>
      </c>
      <c r="D9" s="5">
        <f>ROUNDDOWN(K7+I13-I22-I29,0)</f>
        <v>18538</v>
      </c>
      <c r="E9" s="5">
        <f>ROUNDDOWN(Q7+O13-O22-O29,0)</f>
        <v>28740</v>
      </c>
      <c r="G9" s="2" t="s">
        <v>32</v>
      </c>
      <c r="H9" s="3"/>
      <c r="I9" s="3"/>
      <c r="J9" s="1"/>
      <c r="K9" s="27" t="s">
        <v>27</v>
      </c>
      <c r="L9" s="1"/>
      <c r="M9" s="2" t="s">
        <v>32</v>
      </c>
      <c r="N9" s="3"/>
      <c r="O9" s="3"/>
      <c r="P9" s="1"/>
      <c r="Q9" s="27" t="s">
        <v>28</v>
      </c>
    </row>
    <row r="10" spans="2:17" x14ac:dyDescent="0.3">
      <c r="G10" s="9" t="s">
        <v>2</v>
      </c>
      <c r="H10" s="10" t="s">
        <v>3</v>
      </c>
      <c r="I10" s="11"/>
      <c r="J10" s="12"/>
      <c r="K10" s="13"/>
      <c r="L10" s="1"/>
      <c r="M10" s="9" t="s">
        <v>2</v>
      </c>
      <c r="N10" s="10" t="s">
        <v>3</v>
      </c>
      <c r="O10" s="11"/>
      <c r="P10" s="12"/>
      <c r="Q10" s="13"/>
    </row>
    <row r="11" spans="2:17" x14ac:dyDescent="0.3">
      <c r="B11" t="s">
        <v>20</v>
      </c>
      <c r="C11" t="s">
        <v>21</v>
      </c>
      <c r="D11" s="28">
        <v>135608</v>
      </c>
      <c r="E11" s="28">
        <v>121550</v>
      </c>
      <c r="G11" s="14">
        <v>0</v>
      </c>
      <c r="H11" s="15">
        <v>75864</v>
      </c>
      <c r="I11" s="15">
        <f>IF(J11=TRUE,D8*K11,0)</f>
        <v>2945.6</v>
      </c>
      <c r="J11" s="15" t="b">
        <f>AND($D$8&lt;=H11)</f>
        <v>1</v>
      </c>
      <c r="K11" s="30">
        <v>5.2600000000000001E-2</v>
      </c>
      <c r="L11" s="1"/>
      <c r="M11" s="14">
        <v>0</v>
      </c>
      <c r="N11" s="15">
        <v>75864</v>
      </c>
      <c r="O11" s="15">
        <f>IF(P11=TRUE,E8*Q11,0)</f>
        <v>0</v>
      </c>
      <c r="P11" s="15" t="b">
        <f>AND($E$8&lt;=N11)</f>
        <v>0</v>
      </c>
      <c r="Q11" s="30">
        <v>5.2600000000000001E-2</v>
      </c>
    </row>
    <row r="12" spans="2:17" x14ac:dyDescent="0.3">
      <c r="B12" t="s">
        <v>20</v>
      </c>
      <c r="C12" t="s">
        <v>30</v>
      </c>
      <c r="D12" s="29" t="s">
        <v>29</v>
      </c>
      <c r="E12" s="29" t="s">
        <v>29</v>
      </c>
      <c r="G12" s="17">
        <f>H11+1</f>
        <v>75865</v>
      </c>
      <c r="H12" s="18">
        <v>0</v>
      </c>
      <c r="I12" s="18">
        <f>IF(J12=TRUE,3990,0)</f>
        <v>0</v>
      </c>
      <c r="J12" s="18" t="b">
        <f>AND($D$8&gt;H11)</f>
        <v>0</v>
      </c>
      <c r="K12" s="19">
        <v>0</v>
      </c>
      <c r="L12" s="1"/>
      <c r="M12" s="17">
        <f>N11+1</f>
        <v>75865</v>
      </c>
      <c r="N12" s="18">
        <v>0</v>
      </c>
      <c r="O12" s="18">
        <f>IF(P12=TRUE,3990,0)</f>
        <v>3990</v>
      </c>
      <c r="P12" s="18" t="b">
        <f>AND($E$8&gt;N11)</f>
        <v>1</v>
      </c>
      <c r="Q12" s="19">
        <v>0</v>
      </c>
    </row>
    <row r="13" spans="2:17" x14ac:dyDescent="0.3">
      <c r="C13" t="s">
        <v>22</v>
      </c>
      <c r="D13" s="6">
        <f>IF(AND(D11&gt;67804,D12="nee"),31%,IF(AND(D11&gt;135608,D12="ja"),31%,24.5%))</f>
        <v>0.245</v>
      </c>
      <c r="E13" s="6">
        <f>IF(AND(E11&gt;67804,E12="nee"),31%,IF(AND(E11&gt;135608,E12="ja"),31%,24.5%))</f>
        <v>0.245</v>
      </c>
      <c r="G13" s="1"/>
      <c r="H13" s="1"/>
      <c r="I13" s="3">
        <f>ROUNDDOWN(SUM(I11:I12),0)</f>
        <v>2945</v>
      </c>
      <c r="J13" s="1"/>
      <c r="K13" s="1"/>
      <c r="L13" s="1"/>
      <c r="M13" s="1"/>
      <c r="N13" s="1"/>
      <c r="O13" s="3">
        <f>ROUNDDOWN(SUM(O11:O12),0)</f>
        <v>3990</v>
      </c>
      <c r="P13" s="1"/>
      <c r="Q13" s="1"/>
    </row>
    <row r="14" spans="2:17" x14ac:dyDescent="0.3">
      <c r="C14" t="s">
        <v>8</v>
      </c>
      <c r="D14" s="5">
        <f>IF(D12="ja",I41,I35)</f>
        <v>33223</v>
      </c>
      <c r="E14" s="5">
        <f>IF(E12="ja",O41,O35)</f>
        <v>29779</v>
      </c>
      <c r="G14" s="3"/>
      <c r="H14" s="3"/>
      <c r="I14" s="3"/>
      <c r="J14" s="1"/>
      <c r="K14" s="1"/>
      <c r="L14" s="1"/>
      <c r="M14" s="3"/>
      <c r="N14" s="3"/>
      <c r="O14" s="3"/>
      <c r="P14" s="1"/>
      <c r="Q14" s="1"/>
    </row>
    <row r="15" spans="2:17" x14ac:dyDescent="0.3">
      <c r="G15" s="2" t="s">
        <v>9</v>
      </c>
      <c r="H15" s="3"/>
      <c r="I15" s="3"/>
      <c r="J15" s="1"/>
      <c r="K15" s="27" t="s">
        <v>27</v>
      </c>
      <c r="L15" s="1"/>
      <c r="M15" s="2" t="s">
        <v>9</v>
      </c>
      <c r="N15" s="3"/>
      <c r="O15" s="3"/>
      <c r="P15" s="1"/>
      <c r="Q15" s="27" t="s">
        <v>28</v>
      </c>
    </row>
    <row r="16" spans="2:17" x14ac:dyDescent="0.3">
      <c r="C16" s="25"/>
      <c r="D16" s="26"/>
      <c r="E16" s="26"/>
      <c r="G16" s="9" t="s">
        <v>2</v>
      </c>
      <c r="H16" s="10" t="s">
        <v>3</v>
      </c>
      <c r="I16" s="11"/>
      <c r="J16" s="12"/>
      <c r="K16" s="13"/>
      <c r="L16" s="1"/>
      <c r="M16" s="9" t="s">
        <v>2</v>
      </c>
      <c r="N16" s="10" t="s">
        <v>3</v>
      </c>
      <c r="O16" s="11"/>
      <c r="P16" s="12"/>
      <c r="Q16" s="13"/>
    </row>
    <row r="17" spans="2:17" x14ac:dyDescent="0.3">
      <c r="C17" t="s">
        <v>11</v>
      </c>
      <c r="D17" s="5">
        <f>D3-D9</f>
        <v>37462</v>
      </c>
      <c r="E17" s="5">
        <f>E3-E9</f>
        <v>48076</v>
      </c>
      <c r="G17" s="14">
        <v>0</v>
      </c>
      <c r="H17" s="15">
        <v>12168</v>
      </c>
      <c r="I17" s="15">
        <f>IF(J17=TRUE,$D$8*K17,0)</f>
        <v>0</v>
      </c>
      <c r="J17" s="15" t="b">
        <f>AND($D$8&lt;=H17)</f>
        <v>0</v>
      </c>
      <c r="K17" s="20">
        <v>8.0530000000000004E-2</v>
      </c>
      <c r="L17" s="1"/>
      <c r="M17" s="14">
        <v>0</v>
      </c>
      <c r="N17" s="15">
        <v>12168</v>
      </c>
      <c r="O17" s="15">
        <f>IF(P17=TRUE,$E$8*Q17,0)</f>
        <v>0</v>
      </c>
      <c r="P17" s="15" t="b">
        <f>AND($E$8&lt;=N17)</f>
        <v>0</v>
      </c>
      <c r="Q17" s="20">
        <v>8.0530000000000004E-2</v>
      </c>
    </row>
    <row r="18" spans="2:17" x14ac:dyDescent="0.3">
      <c r="C18" t="s">
        <v>12</v>
      </c>
      <c r="D18" s="5">
        <f>D11-D14</f>
        <v>102385</v>
      </c>
      <c r="E18" s="5">
        <f>E11-E14</f>
        <v>91771</v>
      </c>
      <c r="G18" s="14">
        <f>H17+1</f>
        <v>12169</v>
      </c>
      <c r="H18" s="15">
        <v>26287</v>
      </c>
      <c r="I18" s="15">
        <f>IF(J18=TRUE,980+($D$8-G18)*K18,0)</f>
        <v>0</v>
      </c>
      <c r="J18" s="15" t="b">
        <f>AND($D$8&gt;=G18,$D$8&lt;=H18)</f>
        <v>0</v>
      </c>
      <c r="K18" s="20">
        <v>0.30030000000000001</v>
      </c>
      <c r="L18" s="1"/>
      <c r="M18" s="14">
        <f>N17+1</f>
        <v>12169</v>
      </c>
      <c r="N18" s="15">
        <v>26287</v>
      </c>
      <c r="O18" s="15">
        <f>IF(P18=TRUE,980+($E$8-M18)*Q18,0)</f>
        <v>0</v>
      </c>
      <c r="P18" s="15" t="b">
        <f>AND($E$8&gt;=M18,$E$8&lt;=N18)</f>
        <v>0</v>
      </c>
      <c r="Q18" s="20">
        <v>0.30030000000000001</v>
      </c>
    </row>
    <row r="19" spans="2:17" x14ac:dyDescent="0.3">
      <c r="C19" s="7" t="s">
        <v>26</v>
      </c>
      <c r="D19" s="8">
        <f>SUM(D17:D18)</f>
        <v>139847</v>
      </c>
      <c r="E19" s="8">
        <f>SUM(E17:E18)</f>
        <v>139847</v>
      </c>
      <c r="G19" s="14">
        <f>H18+1</f>
        <v>26288</v>
      </c>
      <c r="H19" s="15">
        <v>43070</v>
      </c>
      <c r="I19" s="15">
        <f>IF(J19=TRUE,5220+($D$8-G19)*K19,0)</f>
        <v>0</v>
      </c>
      <c r="J19" s="15" t="b">
        <f>AND($D$8&gt;=G19,$D$8&lt;=H19)</f>
        <v>0</v>
      </c>
      <c r="K19" s="20">
        <v>2.2579999999999999E-2</v>
      </c>
      <c r="L19" s="1"/>
      <c r="M19" s="14">
        <f>N18+1</f>
        <v>26288</v>
      </c>
      <c r="N19" s="15">
        <v>43070</v>
      </c>
      <c r="O19" s="15">
        <f>IF(P19=TRUE,5220+($E$8-M19)*Q19,0)</f>
        <v>0</v>
      </c>
      <c r="P19" s="15" t="b">
        <f>AND($E$8&gt;=M19,$E$8&lt;=N19)</f>
        <v>0</v>
      </c>
      <c r="Q19" s="20">
        <v>2.2579999999999999E-2</v>
      </c>
    </row>
    <row r="20" spans="2:17" x14ac:dyDescent="0.3">
      <c r="G20" s="14">
        <f>H19+1</f>
        <v>43071</v>
      </c>
      <c r="H20" s="15">
        <v>129077</v>
      </c>
      <c r="I20" s="15">
        <f>IF(J20=TRUE,5599-($D$8-G20)*K20,0)</f>
        <v>4757.3221000000003</v>
      </c>
      <c r="J20" s="15" t="b">
        <f>AND($D$8&gt;=G20,$D$8&lt;=H20)</f>
        <v>1</v>
      </c>
      <c r="K20" s="20">
        <v>6.5100000000000005E-2</v>
      </c>
      <c r="L20" s="1"/>
      <c r="M20" s="14">
        <f>N19+1</f>
        <v>43071</v>
      </c>
      <c r="N20" s="15">
        <v>129077</v>
      </c>
      <c r="O20" s="15">
        <f>IF(P20=TRUE,5599-($E$8-M20)*Q20,0)</f>
        <v>3402.2004999999999</v>
      </c>
      <c r="P20" s="15" t="b">
        <f>AND($E$8&gt;=M20,$E$8&lt;=N20)</f>
        <v>1</v>
      </c>
      <c r="Q20" s="20">
        <v>6.5100000000000005E-2</v>
      </c>
    </row>
    <row r="21" spans="2:17" x14ac:dyDescent="0.3">
      <c r="C21" t="s">
        <v>6</v>
      </c>
      <c r="D21" s="5">
        <f>D9</f>
        <v>18538</v>
      </c>
      <c r="E21" s="5">
        <f>E9</f>
        <v>28740</v>
      </c>
      <c r="G21" s="17">
        <f>H20+1</f>
        <v>129078</v>
      </c>
      <c r="H21" s="18">
        <v>0</v>
      </c>
      <c r="I21" s="18">
        <f>IF(J21=TRUE,K21,0)</f>
        <v>0</v>
      </c>
      <c r="J21" s="18" t="b">
        <f>AND($D$8&gt;=G21)</f>
        <v>0</v>
      </c>
      <c r="K21" s="21">
        <v>0</v>
      </c>
      <c r="L21" s="1"/>
      <c r="M21" s="17">
        <f>N20+1</f>
        <v>129078</v>
      </c>
      <c r="N21" s="18">
        <v>0</v>
      </c>
      <c r="O21" s="18">
        <f>IF(P21=TRUE,Q21,0)</f>
        <v>0</v>
      </c>
      <c r="P21" s="18" t="b">
        <f>AND($E$8&gt;=M21)</f>
        <v>0</v>
      </c>
      <c r="Q21" s="21">
        <v>0</v>
      </c>
    </row>
    <row r="22" spans="2:17" x14ac:dyDescent="0.3">
      <c r="C22" t="s">
        <v>8</v>
      </c>
      <c r="D22" s="5">
        <f>D14</f>
        <v>33223</v>
      </c>
      <c r="E22" s="5">
        <f>E14</f>
        <v>29779</v>
      </c>
      <c r="G22" s="3"/>
      <c r="H22" s="3"/>
      <c r="I22" s="3">
        <f>SUM(I17:I21)</f>
        <v>4757.3221000000003</v>
      </c>
      <c r="J22" s="1"/>
      <c r="K22" s="1"/>
      <c r="L22" s="1"/>
      <c r="M22" s="3"/>
      <c r="N22" s="3"/>
      <c r="O22" s="3">
        <f>SUM(O17:O21)</f>
        <v>3402.2004999999999</v>
      </c>
      <c r="P22" s="1"/>
      <c r="Q22" s="1"/>
    </row>
    <row r="23" spans="2:17" x14ac:dyDescent="0.3">
      <c r="C23" t="s">
        <v>15</v>
      </c>
      <c r="D23" s="5">
        <f>IF($D$3&lt;$E$3,0,$E$3-$D$3)*D33</f>
        <v>0</v>
      </c>
      <c r="E23" s="5">
        <f>IF($D$3&gt;$E$3,0,$D$3-$E$3)*E33</f>
        <v>-3955.04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x14ac:dyDescent="0.3">
      <c r="C24" s="7" t="s">
        <v>13</v>
      </c>
      <c r="D24" s="8">
        <f>SUM(D21:D23)</f>
        <v>51761</v>
      </c>
      <c r="E24" s="8">
        <f>SUM(E21:E23)</f>
        <v>54563.96</v>
      </c>
      <c r="F24" s="8">
        <f>E24-D24</f>
        <v>2802.9599999999991</v>
      </c>
      <c r="G24" s="2" t="s">
        <v>10</v>
      </c>
      <c r="H24" s="3"/>
      <c r="I24" s="3"/>
      <c r="J24" s="1"/>
      <c r="K24" s="27" t="s">
        <v>27</v>
      </c>
      <c r="L24" s="1"/>
      <c r="M24" s="2" t="s">
        <v>10</v>
      </c>
      <c r="N24" s="3"/>
      <c r="O24" s="3"/>
      <c r="P24" s="1"/>
      <c r="Q24" s="27" t="s">
        <v>28</v>
      </c>
    </row>
    <row r="25" spans="2:17" x14ac:dyDescent="0.3">
      <c r="G25" s="9" t="s">
        <v>2</v>
      </c>
      <c r="H25" s="10" t="s">
        <v>3</v>
      </c>
      <c r="I25" s="11"/>
      <c r="J25" s="12"/>
      <c r="K25" s="13"/>
      <c r="L25" s="1"/>
      <c r="M25" s="9" t="s">
        <v>2</v>
      </c>
      <c r="N25" s="10" t="s">
        <v>3</v>
      </c>
      <c r="O25" s="11"/>
      <c r="P25" s="12"/>
      <c r="Q25" s="13"/>
    </row>
    <row r="26" spans="2:17" x14ac:dyDescent="0.3">
      <c r="C26" s="25"/>
      <c r="D26" s="26"/>
      <c r="E26" s="26"/>
      <c r="G26" s="14">
        <v>0</v>
      </c>
      <c r="H26" s="15">
        <v>28405</v>
      </c>
      <c r="I26" s="15">
        <f>IF(J26=TRUE,K26,0)</f>
        <v>0</v>
      </c>
      <c r="J26" s="15" t="b">
        <f>AND($D$27&lt;=H26)</f>
        <v>0</v>
      </c>
      <c r="K26" s="22">
        <v>3068</v>
      </c>
      <c r="L26" s="1"/>
      <c r="M26" s="14">
        <v>0</v>
      </c>
      <c r="N26" s="15">
        <v>28405</v>
      </c>
      <c r="O26" s="15">
        <f>IF(P26=TRUE,Q26,0)</f>
        <v>0</v>
      </c>
      <c r="P26" s="15" t="b">
        <f>AND($E$27&lt;=N26)</f>
        <v>0</v>
      </c>
      <c r="Q26" s="22">
        <v>3068</v>
      </c>
    </row>
    <row r="27" spans="2:17" x14ac:dyDescent="0.3">
      <c r="C27" t="s">
        <v>31</v>
      </c>
      <c r="D27" s="5">
        <f>IF(D12="ja",D8+(D11/2),D8+D11)</f>
        <v>123804</v>
      </c>
      <c r="E27" s="5">
        <f>IF(E12="ja",E8+(E11/2),E8+E11)</f>
        <v>137591</v>
      </c>
      <c r="F27" s="6"/>
      <c r="G27" s="14">
        <f>H26+1</f>
        <v>28406</v>
      </c>
      <c r="H27" s="15">
        <v>76816</v>
      </c>
      <c r="I27" s="15">
        <f>IF(J27=TRUE,K26-(K27*($D$8-G27)),0)</f>
        <v>0</v>
      </c>
      <c r="J27" s="15" t="b">
        <f>AND($D$27&gt;=G27,$D$27&lt;=H27)</f>
        <v>0</v>
      </c>
      <c r="K27" s="20">
        <v>6.3369999999999996E-2</v>
      </c>
      <c r="L27" s="1"/>
      <c r="M27" s="14">
        <f>N26+1</f>
        <v>28406</v>
      </c>
      <c r="N27" s="15">
        <v>76816</v>
      </c>
      <c r="O27" s="15">
        <f>IF(P27=TRUE,Q26-(Q27*($E$8-M27)),0)</f>
        <v>0</v>
      </c>
      <c r="P27" s="15" t="b">
        <f>AND($E$27&gt;=M27,$E$27&lt;=N27)</f>
        <v>0</v>
      </c>
      <c r="Q27" s="20">
        <v>6.3369999999999996E-2</v>
      </c>
    </row>
    <row r="28" spans="2:17" x14ac:dyDescent="0.3">
      <c r="G28" s="17">
        <f>H27+1</f>
        <v>76817</v>
      </c>
      <c r="H28" s="18">
        <v>0</v>
      </c>
      <c r="I28" s="18">
        <f>IF(J28=TRUE,K28,0)</f>
        <v>0</v>
      </c>
      <c r="J28" s="18" t="b">
        <f>AND($D$27&gt;=G28)</f>
        <v>1</v>
      </c>
      <c r="K28" s="21">
        <v>0</v>
      </c>
      <c r="L28" s="1"/>
      <c r="M28" s="17">
        <f>N27+1</f>
        <v>76817</v>
      </c>
      <c r="N28" s="18">
        <v>0</v>
      </c>
      <c r="O28" s="18">
        <f>IF(P28=TRUE,Q28,0)</f>
        <v>0</v>
      </c>
      <c r="P28" s="18" t="b">
        <f>AND($E$27&gt;=M28)</f>
        <v>1</v>
      </c>
      <c r="Q28" s="21">
        <v>0</v>
      </c>
    </row>
    <row r="29" spans="2:17" x14ac:dyDescent="0.3">
      <c r="C29" s="25"/>
      <c r="D29" s="26"/>
      <c r="E29" s="26"/>
      <c r="G29" s="1"/>
      <c r="H29" s="1"/>
      <c r="I29" s="3">
        <f>SUM(I26:I28)</f>
        <v>0</v>
      </c>
      <c r="J29" s="1"/>
      <c r="K29" s="1"/>
      <c r="L29" s="1"/>
      <c r="M29" s="1"/>
      <c r="N29" s="1"/>
      <c r="O29" s="3">
        <f>SUM(O26:O28)</f>
        <v>0</v>
      </c>
      <c r="P29" s="1"/>
      <c r="Q29" s="1"/>
    </row>
    <row r="30" spans="2:17" x14ac:dyDescent="0.3">
      <c r="B30" t="s">
        <v>20</v>
      </c>
      <c r="C30" t="s">
        <v>16</v>
      </c>
      <c r="D30" s="28">
        <v>220000</v>
      </c>
      <c r="E30" s="28">
        <f>D30</f>
        <v>220000</v>
      </c>
    </row>
    <row r="31" spans="2:17" x14ac:dyDescent="0.3">
      <c r="C31" t="s">
        <v>17</v>
      </c>
      <c r="D31" s="5">
        <f>D3</f>
        <v>56000</v>
      </c>
      <c r="E31" s="5">
        <f>E3</f>
        <v>76816</v>
      </c>
      <c r="G31" s="2" t="s">
        <v>24</v>
      </c>
      <c r="H31" s="3"/>
      <c r="I31" s="3"/>
      <c r="J31" s="1"/>
      <c r="K31" s="27" t="s">
        <v>27</v>
      </c>
      <c r="L31" s="1"/>
      <c r="M31" s="2" t="s">
        <v>24</v>
      </c>
      <c r="N31" s="3"/>
      <c r="O31" s="3"/>
      <c r="P31" s="1"/>
      <c r="Q31" s="27" t="s">
        <v>28</v>
      </c>
    </row>
    <row r="32" spans="2:17" x14ac:dyDescent="0.3">
      <c r="C32" t="s">
        <v>18</v>
      </c>
      <c r="D32" s="5">
        <f>D30-D31</f>
        <v>164000</v>
      </c>
      <c r="E32" s="5">
        <f>E30-E31</f>
        <v>143184</v>
      </c>
      <c r="G32" s="9" t="s">
        <v>2</v>
      </c>
      <c r="H32" s="10" t="s">
        <v>3</v>
      </c>
      <c r="I32" s="11"/>
      <c r="J32" s="12"/>
      <c r="K32" s="13"/>
      <c r="L32" s="1"/>
      <c r="M32" s="9" t="s">
        <v>2</v>
      </c>
      <c r="N32" s="10" t="s">
        <v>3</v>
      </c>
      <c r="O32" s="11"/>
      <c r="P32" s="12"/>
      <c r="Q32" s="13"/>
    </row>
    <row r="33" spans="3:17" x14ac:dyDescent="0.3">
      <c r="C33" t="s">
        <v>14</v>
      </c>
      <c r="D33" s="6">
        <f>IF(D32&gt;200000,25.8%,19%)</f>
        <v>0.19</v>
      </c>
      <c r="E33" s="6">
        <f>IF(E32&gt;200000,25.8%,19%)</f>
        <v>0.19</v>
      </c>
      <c r="G33" s="14">
        <v>0</v>
      </c>
      <c r="H33" s="15">
        <v>67804</v>
      </c>
      <c r="I33" s="15">
        <f>IF(J33=FALSE,H33*K33,K33*$D$11)</f>
        <v>16611.98</v>
      </c>
      <c r="J33" s="15" t="b">
        <f>AND($D$11&lt;=H33)</f>
        <v>0</v>
      </c>
      <c r="K33" s="23">
        <v>0.245</v>
      </c>
      <c r="L33" s="1"/>
      <c r="M33" s="14">
        <v>0</v>
      </c>
      <c r="N33" s="15">
        <v>67804</v>
      </c>
      <c r="O33" s="15">
        <f>IF(P33=FALSE,N33*Q33,Q33*$E$11)</f>
        <v>16611.98</v>
      </c>
      <c r="P33" s="15" t="b">
        <f>AND($E$11&lt;=N33)</f>
        <v>0</v>
      </c>
      <c r="Q33" s="23">
        <v>0.245</v>
      </c>
    </row>
    <row r="34" spans="3:17" x14ac:dyDescent="0.3">
      <c r="G34" s="17">
        <f>H33+1</f>
        <v>67805</v>
      </c>
      <c r="H34" s="18">
        <v>0</v>
      </c>
      <c r="I34" s="18">
        <f>IF(J34=TRUE,($D$11-H33)*K34,0)</f>
        <v>21019.24</v>
      </c>
      <c r="J34" s="18" t="b">
        <f>AND($D$11&gt;=G34)</f>
        <v>1</v>
      </c>
      <c r="K34" s="24">
        <v>0.31</v>
      </c>
      <c r="L34" s="1"/>
      <c r="M34" s="17">
        <f>N33+1</f>
        <v>67805</v>
      </c>
      <c r="N34" s="18">
        <v>0</v>
      </c>
      <c r="O34" s="18">
        <f>IF(P34=TRUE,($E$11-N33)*Q34,0)</f>
        <v>16661.259999999998</v>
      </c>
      <c r="P34" s="18" t="b">
        <f>AND($E$11&gt;=M34)</f>
        <v>1</v>
      </c>
      <c r="Q34" s="24">
        <v>0.31</v>
      </c>
    </row>
    <row r="35" spans="3:17" x14ac:dyDescent="0.3">
      <c r="C35" s="25"/>
      <c r="D35" s="26"/>
      <c r="E35" s="26"/>
      <c r="G35" s="1"/>
      <c r="H35" s="1"/>
      <c r="I35" s="3">
        <f>ROUNDDOWN(SUM(I33:I34),0)</f>
        <v>37631</v>
      </c>
      <c r="J35" s="1"/>
      <c r="K35" s="1"/>
      <c r="L35" s="1"/>
      <c r="M35" s="1"/>
      <c r="N35" s="1"/>
      <c r="O35" s="3">
        <f>ROUNDDOWN(SUM(O33:O34),0)</f>
        <v>33273</v>
      </c>
      <c r="P35" s="1"/>
      <c r="Q35" s="1"/>
    </row>
    <row r="37" spans="3:17" x14ac:dyDescent="0.3">
      <c r="G37" s="2" t="s">
        <v>25</v>
      </c>
      <c r="H37" s="3"/>
      <c r="I37" s="3"/>
      <c r="J37" s="1"/>
      <c r="K37" s="27" t="s">
        <v>27</v>
      </c>
      <c r="M37" s="2" t="s">
        <v>25</v>
      </c>
      <c r="N37" s="3"/>
      <c r="O37" s="3"/>
      <c r="P37" s="1"/>
      <c r="Q37" s="27" t="s">
        <v>28</v>
      </c>
    </row>
    <row r="38" spans="3:17" x14ac:dyDescent="0.3">
      <c r="G38" s="9" t="s">
        <v>2</v>
      </c>
      <c r="H38" s="10" t="s">
        <v>3</v>
      </c>
      <c r="I38" s="11"/>
      <c r="J38" s="12"/>
      <c r="K38" s="13"/>
      <c r="M38" s="9" t="s">
        <v>2</v>
      </c>
      <c r="N38" s="10" t="s">
        <v>3</v>
      </c>
      <c r="O38" s="11"/>
      <c r="P38" s="12"/>
      <c r="Q38" s="13"/>
    </row>
    <row r="39" spans="3:17" x14ac:dyDescent="0.3">
      <c r="G39" s="14">
        <v>0</v>
      </c>
      <c r="H39" s="15">
        <v>135608</v>
      </c>
      <c r="I39" s="15">
        <f>IF(J39=FALSE,H39*K39,K39*$D$11)</f>
        <v>33223.96</v>
      </c>
      <c r="J39" s="15" t="b">
        <f>AND($D$11&lt;=H39)</f>
        <v>1</v>
      </c>
      <c r="K39" s="23">
        <v>0.245</v>
      </c>
      <c r="M39" s="14">
        <v>0</v>
      </c>
      <c r="N39" s="15">
        <v>135608</v>
      </c>
      <c r="O39" s="15">
        <f>IF(P39=FALSE,N39*Q39,Q39*$E$11)</f>
        <v>29779.75</v>
      </c>
      <c r="P39" s="15" t="b">
        <f>AND($E$11&lt;=N39)</f>
        <v>1</v>
      </c>
      <c r="Q39" s="23">
        <v>0.245</v>
      </c>
    </row>
    <row r="40" spans="3:17" x14ac:dyDescent="0.3">
      <c r="G40" s="17">
        <f>H39+1</f>
        <v>135609</v>
      </c>
      <c r="H40" s="18">
        <v>0</v>
      </c>
      <c r="I40" s="18">
        <f>IF(J40=TRUE,($D$11-H39)*K40,0)</f>
        <v>0</v>
      </c>
      <c r="J40" s="18" t="b">
        <f>AND($D$11&gt;=G40)</f>
        <v>0</v>
      </c>
      <c r="K40" s="24">
        <v>0.31</v>
      </c>
      <c r="M40" s="17">
        <f>N39+1</f>
        <v>135609</v>
      </c>
      <c r="N40" s="18">
        <v>0</v>
      </c>
      <c r="O40" s="18">
        <f>IF(P40=TRUE,($E$11-N39)*Q40,0)</f>
        <v>0</v>
      </c>
      <c r="P40" s="18" t="b">
        <f>AND($E$11&gt;=M40)</f>
        <v>0</v>
      </c>
      <c r="Q40" s="24">
        <v>0.31</v>
      </c>
    </row>
    <row r="41" spans="3:17" x14ac:dyDescent="0.3">
      <c r="G41" s="1"/>
      <c r="H41" s="1"/>
      <c r="I41" s="3">
        <f>ROUNDDOWN(SUM(I39:I40),0)</f>
        <v>33223</v>
      </c>
      <c r="J41" s="1"/>
      <c r="K41" s="1"/>
      <c r="M41" s="1"/>
      <c r="N41" s="1"/>
      <c r="O41" s="3">
        <f>ROUNDDOWN(SUM(O39:O40),0)</f>
        <v>29779</v>
      </c>
      <c r="P41" s="1"/>
      <c r="Q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Salaris-dividend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coenradie</dc:creator>
  <cp:lastModifiedBy>troy coenradie</cp:lastModifiedBy>
  <dcterms:created xsi:type="dcterms:W3CDTF">2025-02-23T18:33:00Z</dcterms:created>
  <dcterms:modified xsi:type="dcterms:W3CDTF">2025-03-21T08:00:35Z</dcterms:modified>
</cp:coreProperties>
</file>